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077742F-76E8-4778-BF2F-C94A9F0528E9}" xr6:coauthVersionLast="47" xr6:coauthVersionMax="47" xr10:uidLastSave="{00000000-0000-0000-0000-000000000000}"/>
  <bookViews>
    <workbookView xWindow="-108" yWindow="-108" windowWidth="21912" windowHeight="13176" xr2:uid="{B720658C-DBC3-425C-A4A3-0A593216B4FD}"/>
  </bookViews>
  <sheets>
    <sheet name="WYNAGRODZENIE-POLSKI-Ł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A21" i="1"/>
  <c r="H20" i="1"/>
  <c r="A20" i="1"/>
  <c r="F20" i="1" s="1"/>
  <c r="A22" i="1"/>
  <c r="E22" i="1" s="1"/>
  <c r="H22" i="1"/>
  <c r="H21" i="1"/>
  <c r="V20" i="1" l="1"/>
  <c r="U20" i="1"/>
  <c r="E20" i="1"/>
  <c r="D20" i="1"/>
  <c r="R20" i="1"/>
  <c r="S20" i="1"/>
  <c r="T20" i="1"/>
  <c r="U22" i="1"/>
  <c r="D22" i="1"/>
  <c r="V22" i="1"/>
  <c r="S22" i="1"/>
  <c r="R22" i="1"/>
  <c r="T22" i="1"/>
  <c r="F22" i="1"/>
  <c r="V21" i="1"/>
  <c r="U21" i="1"/>
  <c r="G20" i="1" l="1"/>
  <c r="W20" i="1"/>
  <c r="C20" i="1" s="1"/>
  <c r="G22" i="1"/>
  <c r="W22" i="1"/>
  <c r="C22" i="1" s="1"/>
  <c r="D21" i="1"/>
  <c r="E21" i="1"/>
  <c r="F21" i="1"/>
  <c r="R21" i="1"/>
  <c r="S21" i="1"/>
  <c r="T21" i="1"/>
  <c r="I11" i="1" l="1"/>
  <c r="L20" i="1" s="1"/>
  <c r="O20" i="1" s="1"/>
  <c r="G21" i="1"/>
  <c r="I20" i="1"/>
  <c r="I22" i="1"/>
  <c r="J22" i="1" s="1"/>
  <c r="L22" i="1" s="1"/>
  <c r="M22" i="1" s="1"/>
  <c r="W21" i="1"/>
  <c r="C21" i="1" s="1"/>
  <c r="J20" i="1" l="1"/>
  <c r="M20" i="1"/>
  <c r="B20" i="1" s="1"/>
  <c r="I21" i="1"/>
  <c r="M21" i="1" s="1"/>
  <c r="N22" i="1"/>
  <c r="O22" i="1" s="1"/>
  <c r="B22" i="1" s="1"/>
  <c r="J21" i="1" l="1"/>
  <c r="L21" i="1" s="1"/>
  <c r="O21" i="1" s="1"/>
  <c r="B21" i="1" s="1"/>
  <c r="F12" i="1" s="1"/>
  <c r="Q20" i="1"/>
  <c r="P20" i="1"/>
  <c r="Q22" i="1"/>
  <c r="F11" i="1"/>
  <c r="P22" i="1"/>
  <c r="P21" i="1"/>
  <c r="Q21" i="1" l="1"/>
  <c r="A24" i="1"/>
  <c r="A14" i="1" s="1"/>
</calcChain>
</file>

<file path=xl/sharedStrings.xml><?xml version="1.0" encoding="utf-8"?>
<sst xmlns="http://schemas.openxmlformats.org/spreadsheetml/2006/main" count="37" uniqueCount="35">
  <si>
    <t>Emerytalne</t>
  </si>
  <si>
    <t>Rentowe</t>
  </si>
  <si>
    <t>Chorobowe</t>
  </si>
  <si>
    <t>Razem Ubezpieczenie</t>
  </si>
  <si>
    <t>Koszty Uzyskania Przychodu</t>
  </si>
  <si>
    <t>Podstawa wymiaru składek na ubezp. Zdrowotne</t>
  </si>
  <si>
    <t>Podstawa naliczania podatku dochodowego</t>
  </si>
  <si>
    <t>Potrącona zaliczka na podatek dochodowy</t>
  </si>
  <si>
    <t>Składa na ubezpieczenie zdrowotne</t>
  </si>
  <si>
    <t>Zaliczka na
podatek
dochod. do
wpłaty do US</t>
  </si>
  <si>
    <t>Składka na
ubezp.zdrowotne
nie podl.odlicz.od
zaliczki na podatek
dochodowy</t>
  </si>
  <si>
    <t>Łączne koszty
ponoszone przez
pracownika</t>
  </si>
  <si>
    <t>Fundusz Pracy</t>
  </si>
  <si>
    <t>Wypadkowe</t>
  </si>
  <si>
    <t>Fundusz Gwar.
Świad. Pracow.</t>
  </si>
  <si>
    <t>Łączne koszty
ponoszone przez
pracodawcę</t>
  </si>
  <si>
    <t>Ulga podatkowa</t>
  </si>
  <si>
    <t>Składka na
ubezp.zdrowotne
podl.odlicz.od
zaliczki na podatek
dochodowy</t>
  </si>
  <si>
    <t>ubezpieczenie społeczne-pracownik</t>
  </si>
  <si>
    <t>ubezpieczenie społeczne-pracodawca</t>
  </si>
  <si>
    <t>PRACODAWCA</t>
  </si>
  <si>
    <t>PRACOWNIK (ZUS, PIT)</t>
  </si>
  <si>
    <t>BRUTTO</t>
  </si>
  <si>
    <t>Naliczać FP i FGŚP?</t>
  </si>
  <si>
    <t>TAK</t>
  </si>
  <si>
    <t>NETTO</t>
  </si>
  <si>
    <t>BRUTTO BRUTTO</t>
  </si>
  <si>
    <t>ULGA</t>
  </si>
  <si>
    <r>
      <t xml:space="preserve">Wynagrodzenie do Ręki - </t>
    </r>
    <r>
      <rPr>
        <b/>
        <sz val="14"/>
        <color theme="1"/>
        <rFont val="Arial"/>
        <family val="2"/>
        <charset val="238"/>
      </rPr>
      <t>Polski Ład</t>
    </r>
  </si>
  <si>
    <r>
      <t xml:space="preserve">Wynagrodzenie miesięczne </t>
    </r>
    <r>
      <rPr>
        <b/>
        <sz val="14"/>
        <color theme="1"/>
        <rFont val="Arial"/>
        <family val="2"/>
        <charset val="238"/>
      </rPr>
      <t>brutto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z umowy o pracę</t>
    </r>
  </si>
  <si>
    <r>
      <t xml:space="preserve">Wynagrodzenie miesięczne do ręki - </t>
    </r>
    <r>
      <rPr>
        <b/>
        <sz val="14"/>
        <color theme="1"/>
        <rFont val="Arial"/>
        <family val="2"/>
        <charset val="238"/>
      </rPr>
      <t>2021</t>
    </r>
  </si>
  <si>
    <t>Koszty uzyskania przychodu
A) 250 zł - jeżeli Pracownik pracuje w miejscu zamieszkania
B) 300 zł - jeżeli Pracownik pracuje poza miejscem zamieszkania</t>
  </si>
  <si>
    <r>
      <rPr>
        <sz val="22"/>
        <color theme="0"/>
        <rFont val="Arial"/>
        <family val="2"/>
        <charset val="238"/>
      </rPr>
      <t>Uzupełnij tylko</t>
    </r>
    <r>
      <rPr>
        <sz val="22"/>
        <color theme="1"/>
        <rFont val="Arial"/>
        <family val="2"/>
        <charset val="238"/>
      </rPr>
      <t xml:space="preserve"> </t>
    </r>
    <r>
      <rPr>
        <b/>
        <sz val="22"/>
        <color rgb="FFC00000"/>
        <rFont val="Arial"/>
        <family val="2"/>
        <charset val="238"/>
      </rPr>
      <t>CZERWONE</t>
    </r>
    <r>
      <rPr>
        <sz val="22"/>
        <color theme="0"/>
        <rFont val="Arial"/>
        <family val="2"/>
        <charset val="238"/>
      </rPr>
      <t xml:space="preserve"> pola!!!</t>
    </r>
  </si>
  <si>
    <r>
      <rPr>
        <b/>
        <sz val="14"/>
        <color theme="0"/>
        <rFont val="Arial"/>
        <family val="2"/>
        <charset val="238"/>
      </rPr>
      <t xml:space="preserve">Kalkulator służy do wyliczenia wynagrodzenia </t>
    </r>
    <r>
      <rPr>
        <b/>
        <u/>
        <sz val="14"/>
        <color theme="0"/>
        <rFont val="Arial"/>
        <family val="2"/>
        <charset val="238"/>
      </rPr>
      <t>miesięcznego!!</t>
    </r>
    <r>
      <rPr>
        <b/>
        <sz val="14"/>
        <color theme="0"/>
        <rFont val="Arial"/>
        <family val="2"/>
        <charset val="238"/>
      </rPr>
      <t xml:space="preserve">
MAX wartość</t>
    </r>
    <r>
      <rPr>
        <sz val="14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11 141 zł</t>
    </r>
    <r>
      <rPr>
        <sz val="14"/>
        <rFont val="Arial"/>
        <family val="2"/>
        <charset val="238"/>
      </rPr>
      <t xml:space="preserve"> </t>
    </r>
    <r>
      <rPr>
        <b/>
        <sz val="14"/>
        <color theme="0"/>
        <rFont val="Arial"/>
        <family val="2"/>
        <charset val="238"/>
      </rPr>
      <t>BRUTTO!</t>
    </r>
  </si>
  <si>
    <t xml:space="preserve">KALKULATOR WYNAGRODZENIA MIESIĘCZNEGO - POLSKI ŁAD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</si>
</sst>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22"/>
      <color theme="1"/>
      <name val="Arial"/>
      <family val="2"/>
      <charset val="238"/>
    </font>
    <font>
      <b/>
      <sz val="22"/>
      <color rgb="FFC0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4"/>
      <color theme="0"/>
      <name val="Arial"/>
      <family val="2"/>
      <charset val="238"/>
    </font>
    <font>
      <sz val="22"/>
      <color theme="0"/>
      <name val="Arial"/>
      <family val="2"/>
      <charset val="238"/>
    </font>
    <font>
      <sz val="2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1" fillId="0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</xf>
    <xf numFmtId="164" fontId="1" fillId="0" borderId="0" xfId="0" applyNumberFormat="1" applyFont="1" applyBorder="1" applyProtection="1"/>
    <xf numFmtId="0" fontId="1" fillId="0" borderId="0" xfId="0" applyFont="1" applyFill="1" applyBorder="1" applyProtection="1"/>
    <xf numFmtId="164" fontId="11" fillId="0" borderId="0" xfId="0" applyNumberFormat="1" applyFont="1" applyFill="1" applyBorder="1" applyProtection="1"/>
    <xf numFmtId="0" fontId="7" fillId="0" borderId="0" xfId="0" applyFont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164" fontId="1" fillId="0" borderId="0" xfId="0" applyNumberFormat="1" applyFont="1" applyFill="1" applyBorder="1" applyProtection="1"/>
    <xf numFmtId="0" fontId="7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44" fontId="1" fillId="0" borderId="0" xfId="0" applyNumberFormat="1" applyFont="1" applyBorder="1" applyProtection="1"/>
    <xf numFmtId="164" fontId="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Protection="1">
      <protection hidden="1"/>
    </xf>
    <xf numFmtId="44" fontId="8" fillId="3" borderId="0" xfId="0" applyNumberFormat="1" applyFont="1" applyFill="1" applyBorder="1" applyProtection="1">
      <protection hidden="1"/>
    </xf>
    <xf numFmtId="2" fontId="3" fillId="3" borderId="0" xfId="0" applyNumberFormat="1" applyFont="1" applyFill="1" applyBorder="1" applyProtection="1">
      <protection hidden="1"/>
    </xf>
    <xf numFmtId="44" fontId="7" fillId="4" borderId="0" xfId="0" applyNumberFormat="1" applyFont="1" applyFill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44" fontId="8" fillId="0" borderId="0" xfId="0" applyNumberFormat="1" applyFont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14" fillId="0" borderId="0" xfId="0" applyFont="1" applyFill="1" applyBorder="1" applyProtection="1"/>
    <xf numFmtId="164" fontId="14" fillId="0" borderId="0" xfId="0" applyNumberFormat="1" applyFont="1" applyFill="1" applyBorder="1" applyProtection="1"/>
    <xf numFmtId="164" fontId="12" fillId="7" borderId="1" xfId="0" applyNumberFormat="1" applyFont="1" applyFill="1" applyBorder="1" applyAlignment="1" applyProtection="1">
      <alignment horizontal="center"/>
      <protection locked="0"/>
    </xf>
    <xf numFmtId="164" fontId="12" fillId="7" borderId="1" xfId="0" applyNumberFormat="1" applyFont="1" applyFill="1" applyBorder="1" applyProtection="1">
      <protection locked="0"/>
    </xf>
    <xf numFmtId="164" fontId="9" fillId="0" borderId="1" xfId="0" applyNumberFormat="1" applyFont="1" applyBorder="1" applyProtection="1">
      <protection hidden="1"/>
    </xf>
    <xf numFmtId="0" fontId="19" fillId="0" borderId="0" xfId="0" applyFont="1" applyFill="1" applyBorder="1" applyProtection="1"/>
    <xf numFmtId="0" fontId="11" fillId="6" borderId="0" xfId="0" applyFont="1" applyFill="1" applyBorder="1" applyAlignment="1" applyProtection="1">
      <alignment horizontal="right"/>
    </xf>
    <xf numFmtId="2" fontId="11" fillId="6" borderId="0" xfId="0" applyNumberFormat="1" applyFont="1" applyFill="1" applyBorder="1" applyProtection="1">
      <protection hidden="1"/>
    </xf>
    <xf numFmtId="164" fontId="11" fillId="6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hidden="1"/>
    </xf>
    <xf numFmtId="0" fontId="15" fillId="8" borderId="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164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2"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numFmt numFmtId="0" formatCode="General"/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7620</xdr:colOff>
      <xdr:row>36</xdr:row>
      <xdr:rowOff>165100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B1DE0C55-E063-47E3-8444-5A2846182AF3}"/>
            </a:ext>
          </a:extLst>
        </xdr:cNvPr>
        <xdr:cNvSpPr/>
      </xdr:nvSpPr>
      <xdr:spPr>
        <a:xfrm>
          <a:off x="0" y="7391400"/>
          <a:ext cx="5928360" cy="215392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Kalkulator ma tylko i</a:t>
          </a:r>
          <a:r>
            <a:rPr lang="pl-P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wyłącznie</a:t>
          </a:r>
          <a:r>
            <a:rPr lang="pl-P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cel poglądowy</a:t>
          </a:r>
          <a:r>
            <a:rPr lang="pl-P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 </a:t>
          </a:r>
          <a:endParaRPr lang="pl-PL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l-PL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l-PL" sz="1200">
              <a:solidFill>
                <a:schemeClr val="tx1"/>
              </a:solidFill>
            </a:rPr>
            <a:t>Ten plik podlega ochronie prawem</a:t>
          </a:r>
          <a:r>
            <a:rPr lang="pl-PL" sz="1200" baseline="0">
              <a:solidFill>
                <a:schemeClr val="tx1"/>
              </a:solidFill>
            </a:rPr>
            <a:t> autorskim. </a:t>
          </a:r>
        </a:p>
        <a:p>
          <a:pPr algn="ctr"/>
          <a:r>
            <a:rPr lang="pl-PL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2021 własność euroPiM s.c. Magdalena i Piotr Kłusek.</a:t>
          </a:r>
        </a:p>
        <a:p>
          <a:pPr algn="l"/>
          <a:endParaRPr lang="pl-PL" sz="12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l-PL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Kopiowanie, rozpowszechnianie oraz przerabianie</a:t>
          </a:r>
          <a:r>
            <a:rPr lang="pl-PL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 celach innych niż na własne potrzeby </a:t>
          </a:r>
          <a:r>
            <a:rPr lang="pl-PL" sz="12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jest </a:t>
          </a:r>
          <a:r>
            <a:rPr lang="pl-PL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zabronione! </a:t>
          </a:r>
        </a:p>
        <a:p>
          <a:pPr algn="l"/>
          <a:endParaRPr lang="pl-PL" sz="12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Zgodnie z ustawą z dnia 4 lutego 1994 r. o prawie autorskim i prawach pokrewnych </a:t>
          </a:r>
        </a:p>
        <a:p>
          <a:pPr algn="l"/>
          <a:r>
            <a:rPr lang="pl-PL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(Dz. U. z 2006 r. Nr. 90, poz. 631 z późniejszymi zmianami) cena za jedno</a:t>
          </a:r>
          <a:r>
            <a:rPr lang="pl-PL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użycie komercyjne materiałów</a:t>
          </a:r>
          <a:r>
            <a:rPr lang="pl-PL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autorstwa euroPiM wynosi 3 000 zł netto.</a:t>
          </a:r>
          <a:endParaRPr lang="pl-PL" sz="1200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91440</xdr:colOff>
      <xdr:row>1</xdr:row>
      <xdr:rowOff>53340</xdr:rowOff>
    </xdr:from>
    <xdr:to>
      <xdr:col>8</xdr:col>
      <xdr:colOff>472440</xdr:colOff>
      <xdr:row>36</xdr:row>
      <xdr:rowOff>173084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64F59F2-7B07-4AB3-88B7-E69B5381E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180" y="53340"/>
          <a:ext cx="2225040" cy="532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337E-4DF6-407D-BB8D-C4A06269DC62}">
  <dimension ref="A1:X27"/>
  <sheetViews>
    <sheetView showGridLines="0" tabSelected="1" zoomScaleNormal="100" workbookViewId="0">
      <selection activeCell="F6" sqref="F6:F7"/>
    </sheetView>
  </sheetViews>
  <sheetFormatPr defaultRowHeight="17.399999999999999" x14ac:dyDescent="0.3"/>
  <cols>
    <col min="1" max="1" width="17" style="6" bestFit="1" customWidth="1"/>
    <col min="2" max="2" width="14.6640625" style="7" bestFit="1" customWidth="1"/>
    <col min="3" max="3" width="18" style="7" bestFit="1" customWidth="1"/>
    <col min="4" max="4" width="8.88671875" style="4"/>
    <col min="5" max="5" width="9.88671875" style="4" bestFit="1" customWidth="1"/>
    <col min="6" max="6" width="17.88671875" style="4" bestFit="1" customWidth="1"/>
    <col min="7" max="7" width="12.88671875" style="4" bestFit="1" customWidth="1"/>
    <col min="8" max="8" width="14" style="4" customWidth="1"/>
    <col min="9" max="9" width="11.33203125" style="4" bestFit="1" customWidth="1"/>
    <col min="10" max="12" width="10.6640625" style="4" bestFit="1" customWidth="1"/>
    <col min="13" max="13" width="10.5546875" style="4" bestFit="1" customWidth="1"/>
    <col min="14" max="14" width="15.109375" style="4" customWidth="1"/>
    <col min="15" max="15" width="8.88671875" style="4"/>
    <col min="16" max="16" width="14.33203125" style="4" customWidth="1"/>
    <col min="17" max="17" width="8.88671875" style="4"/>
    <col min="18" max="18" width="12.88671875" style="4" customWidth="1"/>
    <col min="19" max="19" width="15" style="4" customWidth="1"/>
    <col min="20" max="21" width="12.88671875" style="4" customWidth="1"/>
    <col min="22" max="22" width="11.21875" style="4" customWidth="1"/>
    <col min="23" max="23" width="10.44140625" style="4" customWidth="1"/>
    <col min="24" max="24" width="18.6640625" style="8" customWidth="1"/>
    <col min="25" max="16384" width="8.88671875" style="7"/>
  </cols>
  <sheetData>
    <row r="1" spans="1:23" ht="31.8" customHeight="1" x14ac:dyDescent="0.3">
      <c r="A1" s="58" t="s">
        <v>34</v>
      </c>
      <c r="B1" s="58"/>
      <c r="C1" s="58"/>
      <c r="D1" s="58"/>
      <c r="E1" s="58"/>
      <c r="F1" s="58"/>
      <c r="G1" s="58"/>
      <c r="H1" s="58"/>
      <c r="I1" s="58"/>
    </row>
    <row r="2" spans="1:23" ht="34.799999999999997" x14ac:dyDescent="0.55000000000000004">
      <c r="A2" s="46" t="s">
        <v>32</v>
      </c>
      <c r="B2" s="47"/>
      <c r="C2" s="47"/>
      <c r="D2" s="47"/>
      <c r="E2" s="47"/>
      <c r="F2" s="47"/>
    </row>
    <row r="3" spans="1:23" ht="34.799999999999997" customHeight="1" x14ac:dyDescent="0.3">
      <c r="A3" s="54" t="s">
        <v>33</v>
      </c>
      <c r="B3" s="54"/>
      <c r="C3" s="54"/>
      <c r="D3" s="54"/>
      <c r="E3" s="54"/>
      <c r="F3" s="54"/>
    </row>
    <row r="4" spans="1:23" ht="34.799999999999997" customHeight="1" x14ac:dyDescent="0.3">
      <c r="A4" s="54"/>
      <c r="B4" s="54"/>
      <c r="C4" s="54"/>
      <c r="D4" s="54"/>
      <c r="E4" s="54"/>
      <c r="F4" s="54"/>
      <c r="G4" s="32"/>
      <c r="H4" s="32"/>
      <c r="I4" s="32"/>
      <c r="J4" s="32"/>
      <c r="K4" s="32"/>
    </row>
    <row r="5" spans="1:23" ht="6" customHeight="1" x14ac:dyDescent="0.3">
      <c r="G5" s="32"/>
      <c r="H5" s="32"/>
      <c r="I5" s="37"/>
      <c r="J5" s="32"/>
      <c r="K5" s="32"/>
    </row>
    <row r="6" spans="1:23" x14ac:dyDescent="0.3">
      <c r="A6" s="55" t="s">
        <v>31</v>
      </c>
      <c r="B6" s="56"/>
      <c r="C6" s="56"/>
      <c r="D6" s="56"/>
      <c r="E6" s="56"/>
      <c r="F6" s="57">
        <v>300</v>
      </c>
      <c r="G6" s="32"/>
      <c r="H6" s="32"/>
      <c r="I6" s="32"/>
      <c r="J6" s="32"/>
      <c r="K6" s="32"/>
    </row>
    <row r="7" spans="1:23" x14ac:dyDescent="0.3">
      <c r="A7" s="56"/>
      <c r="B7" s="56"/>
      <c r="C7" s="56"/>
      <c r="D7" s="56"/>
      <c r="E7" s="56"/>
      <c r="F7" s="57"/>
      <c r="G7" s="32"/>
      <c r="H7" s="32"/>
      <c r="I7" s="32"/>
      <c r="J7" s="32"/>
      <c r="K7" s="32"/>
    </row>
    <row r="8" spans="1:23" ht="20.399999999999999" hidden="1" x14ac:dyDescent="0.35">
      <c r="A8" s="51" t="s">
        <v>23</v>
      </c>
      <c r="B8" s="51"/>
      <c r="C8" s="51"/>
      <c r="D8" s="51"/>
      <c r="E8" s="51"/>
      <c r="F8" s="34" t="s">
        <v>24</v>
      </c>
      <c r="G8" s="32"/>
      <c r="H8" s="32"/>
      <c r="I8" s="32"/>
      <c r="J8" s="32"/>
      <c r="K8" s="32"/>
    </row>
    <row r="9" spans="1:23" ht="6" customHeight="1" x14ac:dyDescent="0.3">
      <c r="G9" s="33"/>
      <c r="H9" s="33"/>
      <c r="I9" s="33"/>
      <c r="J9" s="33"/>
      <c r="K9" s="33"/>
      <c r="L9" s="9"/>
    </row>
    <row r="10" spans="1:23" ht="20.399999999999999" x14ac:dyDescent="0.35">
      <c r="A10" s="48" t="s">
        <v>29</v>
      </c>
      <c r="B10" s="48"/>
      <c r="C10" s="48"/>
      <c r="D10" s="48"/>
      <c r="E10" s="48"/>
      <c r="F10" s="35">
        <v>3200</v>
      </c>
      <c r="G10" s="5"/>
      <c r="H10" s="5"/>
      <c r="I10" s="5"/>
      <c r="J10" s="33"/>
      <c r="K10" s="33"/>
      <c r="L10" s="9"/>
    </row>
    <row r="11" spans="1:23" ht="20.399999999999999" x14ac:dyDescent="0.35">
      <c r="A11" s="48" t="s">
        <v>30</v>
      </c>
      <c r="B11" s="48"/>
      <c r="C11" s="48"/>
      <c r="D11" s="48"/>
      <c r="E11" s="48"/>
      <c r="F11" s="36">
        <f>B22</f>
        <v>2351.7647999999999</v>
      </c>
      <c r="G11" s="38" t="s">
        <v>27</v>
      </c>
      <c r="H11" s="39">
        <f>IF(F10&gt;11141,0,IF(F10&gt;8549,(F10*-0.0735+819.0833)/0.17,IF(F10&gt;=5701,(F10*0.0668-380.5)/0.17,0)))</f>
        <v>0</v>
      </c>
      <c r="I11" s="40">
        <f>ROUND((F10-G20-F6-H11)*0.17-425,2)</f>
        <v>-6.58</v>
      </c>
      <c r="J11" s="32"/>
      <c r="K11" s="32"/>
    </row>
    <row r="12" spans="1:23" ht="20.399999999999999" x14ac:dyDescent="0.35">
      <c r="A12" s="48" t="s">
        <v>28</v>
      </c>
      <c r="B12" s="48"/>
      <c r="C12" s="48"/>
      <c r="D12" s="48"/>
      <c r="E12" s="48"/>
      <c r="F12" s="36">
        <f>IF(F10&gt;=5701,B20,B21)</f>
        <v>2512.7647999999999</v>
      </c>
      <c r="G12" s="32"/>
      <c r="H12" s="32"/>
      <c r="I12" s="32"/>
      <c r="J12" s="32"/>
      <c r="K12" s="32"/>
    </row>
    <row r="13" spans="1:23" ht="9.6" customHeight="1" x14ac:dyDescent="0.3">
      <c r="A13" s="2"/>
      <c r="B13" s="2"/>
      <c r="C13" s="3"/>
      <c r="E13" s="5"/>
      <c r="G13" s="32"/>
      <c r="H13" s="32"/>
      <c r="I13" s="32"/>
      <c r="J13" s="32"/>
      <c r="K13" s="32"/>
    </row>
    <row r="14" spans="1:23" ht="26.4" customHeight="1" x14ac:dyDescent="0.4">
      <c r="A14" s="53" t="str">
        <f>IF(A24&gt;0,"Zyskasz na POLSKIM ŁADZIE "&amp;A24&amp;" zł","Stracisz na POLSKIM ŁADZIE netto "&amp;A24&amp;" zł")</f>
        <v>Zyskasz na POLSKIM ŁADZIE 161 zł</v>
      </c>
      <c r="B14" s="53"/>
      <c r="C14" s="53"/>
      <c r="D14" s="53"/>
      <c r="E14" s="53"/>
      <c r="F14" s="53"/>
      <c r="G14" s="32"/>
      <c r="H14" s="32"/>
      <c r="I14" s="32"/>
      <c r="J14" s="32"/>
      <c r="K14" s="32"/>
    </row>
    <row r="15" spans="1:23" hidden="1" x14ac:dyDescent="0.3">
      <c r="A15" s="10"/>
      <c r="B15" s="10"/>
      <c r="C15" s="10"/>
      <c r="D15" s="10"/>
      <c r="E15" s="10"/>
      <c r="F15" s="10"/>
    </row>
    <row r="16" spans="1:23" ht="15" hidden="1" customHeight="1" x14ac:dyDescent="0.3">
      <c r="A16" s="49" t="s">
        <v>22</v>
      </c>
      <c r="B16" s="50" t="s">
        <v>25</v>
      </c>
      <c r="C16" s="49" t="s">
        <v>26</v>
      </c>
      <c r="D16" s="43" t="s">
        <v>21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2" t="s">
        <v>20</v>
      </c>
      <c r="S16" s="42"/>
      <c r="T16" s="42"/>
      <c r="U16" s="42"/>
      <c r="V16" s="42"/>
      <c r="W16" s="42"/>
    </row>
    <row r="17" spans="1:23" ht="14.4" hidden="1" customHeight="1" x14ac:dyDescent="0.3">
      <c r="A17" s="49"/>
      <c r="B17" s="50"/>
      <c r="C17" s="49"/>
      <c r="D17" s="52" t="s">
        <v>18</v>
      </c>
      <c r="E17" s="52"/>
      <c r="F17" s="52"/>
      <c r="G17" s="52"/>
      <c r="H17" s="41" t="s">
        <v>4</v>
      </c>
      <c r="I17" s="41" t="s">
        <v>5</v>
      </c>
      <c r="J17" s="41" t="s">
        <v>6</v>
      </c>
      <c r="K17" s="41" t="s">
        <v>16</v>
      </c>
      <c r="L17" s="41" t="s">
        <v>7</v>
      </c>
      <c r="M17" s="41" t="s">
        <v>8</v>
      </c>
      <c r="N17" s="41" t="s">
        <v>17</v>
      </c>
      <c r="O17" s="41" t="s">
        <v>9</v>
      </c>
      <c r="P17" s="41" t="s">
        <v>10</v>
      </c>
      <c r="Q17" s="41" t="s">
        <v>11</v>
      </c>
      <c r="R17" s="44" t="s">
        <v>19</v>
      </c>
      <c r="S17" s="44"/>
      <c r="T17" s="45" t="s">
        <v>13</v>
      </c>
      <c r="U17" s="41" t="s">
        <v>12</v>
      </c>
      <c r="V17" s="41" t="s">
        <v>14</v>
      </c>
      <c r="W17" s="41" t="s">
        <v>15</v>
      </c>
    </row>
    <row r="18" spans="1:23" s="13" customFormat="1" ht="49.8" hidden="1" customHeight="1" x14ac:dyDescent="0.3">
      <c r="A18" s="49"/>
      <c r="B18" s="50"/>
      <c r="C18" s="49"/>
      <c r="D18" s="11" t="s">
        <v>0</v>
      </c>
      <c r="E18" s="11" t="s">
        <v>1</v>
      </c>
      <c r="F18" s="11" t="s">
        <v>2</v>
      </c>
      <c r="G18" s="11" t="s">
        <v>3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2" t="s">
        <v>0</v>
      </c>
      <c r="S18" s="11" t="s">
        <v>1</v>
      </c>
      <c r="T18" s="45"/>
      <c r="U18" s="41"/>
      <c r="V18" s="41"/>
      <c r="W18" s="41"/>
    </row>
    <row r="19" spans="1:23" s="17" customFormat="1" ht="11.4" hidden="1" customHeight="1" x14ac:dyDescent="0.3">
      <c r="A19" s="14"/>
      <c r="B19" s="14"/>
      <c r="C19" s="14"/>
      <c r="D19" s="15">
        <v>9.7600000000000006E-2</v>
      </c>
      <c r="E19" s="15">
        <v>1.4999999999999999E-2</v>
      </c>
      <c r="F19" s="15">
        <v>2.4500000000000001E-2</v>
      </c>
      <c r="G19" s="16"/>
      <c r="H19" s="16"/>
      <c r="I19" s="16"/>
      <c r="J19" s="16"/>
      <c r="K19" s="16"/>
      <c r="L19" s="16"/>
      <c r="M19" s="15">
        <v>0.09</v>
      </c>
      <c r="N19" s="15">
        <v>7.7499999999999999E-2</v>
      </c>
      <c r="O19" s="16"/>
      <c r="P19" s="16"/>
      <c r="Q19" s="16"/>
      <c r="R19" s="15">
        <v>9.7600000000000006E-2</v>
      </c>
      <c r="S19" s="15">
        <v>6.5000000000000002E-2</v>
      </c>
      <c r="T19" s="15">
        <v>1.67E-2</v>
      </c>
      <c r="U19" s="15">
        <v>2.4500000000000001E-2</v>
      </c>
      <c r="V19" s="15">
        <v>1E-3</v>
      </c>
      <c r="W19" s="16"/>
    </row>
    <row r="20" spans="1:23" s="19" customFormat="1" hidden="1" x14ac:dyDescent="0.3">
      <c r="A20" s="23">
        <f>F10</f>
        <v>3200</v>
      </c>
      <c r="B20" s="24">
        <f>A20-G20-M20-O20</f>
        <v>2512.7647999999999</v>
      </c>
      <c r="C20" s="25">
        <f>A20+W20</f>
        <v>3855.36</v>
      </c>
      <c r="D20" s="26">
        <f>A20*$D$19</f>
        <v>312.32</v>
      </c>
      <c r="E20" s="26">
        <f>A20*$E$19</f>
        <v>48</v>
      </c>
      <c r="F20" s="26">
        <f>A20*$F$19</f>
        <v>78.400000000000006</v>
      </c>
      <c r="G20" s="26">
        <f t="shared" ref="G20" si="0">D20+E20+F20</f>
        <v>438.72</v>
      </c>
      <c r="H20" s="26">
        <f>F6</f>
        <v>300</v>
      </c>
      <c r="I20" s="26">
        <f>A20-G20</f>
        <v>2761.2799999999997</v>
      </c>
      <c r="J20" s="26">
        <f t="shared" ref="J20" si="1">IF(I20-H20&lt;0,0,ROUND(I20-H20,0))</f>
        <v>2461</v>
      </c>
      <c r="K20" s="18">
        <v>425</v>
      </c>
      <c r="L20" s="26">
        <f>I11</f>
        <v>-6.58</v>
      </c>
      <c r="M20" s="26">
        <f>(I20*$M$19)</f>
        <v>248.51519999999996</v>
      </c>
      <c r="N20" s="18">
        <v>0</v>
      </c>
      <c r="O20" s="26">
        <f>IF(L20-N20&gt;0,ROUND(L20-N20,0),0)</f>
        <v>0</v>
      </c>
      <c r="P20" s="26">
        <f>M20-N20</f>
        <v>248.51519999999996</v>
      </c>
      <c r="Q20" s="26">
        <f>A20-B20</f>
        <v>687.23520000000008</v>
      </c>
      <c r="R20" s="26">
        <f>A20*$R$19</f>
        <v>312.32</v>
      </c>
      <c r="S20" s="26">
        <f>A20*$S$19</f>
        <v>208</v>
      </c>
      <c r="T20" s="26">
        <f>A20*$T$19</f>
        <v>53.44</v>
      </c>
      <c r="U20" s="26">
        <f>IF($F$8="TAK",A20*$U$19,0)</f>
        <v>78.400000000000006</v>
      </c>
      <c r="V20" s="26">
        <f>IF($F$8="TAK",A20*$V$19,0)</f>
        <v>3.2</v>
      </c>
      <c r="W20" s="26">
        <f t="shared" ref="W20" si="2">R20+S20+T20+U20+V20</f>
        <v>655.36</v>
      </c>
    </row>
    <row r="21" spans="1:23" s="19" customFormat="1" hidden="1" x14ac:dyDescent="0.3">
      <c r="A21" s="23">
        <f>F10</f>
        <v>3200</v>
      </c>
      <c r="B21" s="24">
        <f>A21-G21-M21-O21</f>
        <v>2512.7647999999999</v>
      </c>
      <c r="C21" s="25">
        <f>A21+W21</f>
        <v>3855.36</v>
      </c>
      <c r="D21" s="26">
        <f>A21*$D$19</f>
        <v>312.32</v>
      </c>
      <c r="E21" s="26">
        <f>A21*$E$19</f>
        <v>48</v>
      </c>
      <c r="F21" s="26">
        <f>A21*$F$19</f>
        <v>78.400000000000006</v>
      </c>
      <c r="G21" s="26">
        <f t="shared" ref="G21:G22" si="3">D21+E21+F21</f>
        <v>438.72</v>
      </c>
      <c r="H21" s="26">
        <f>F6</f>
        <v>300</v>
      </c>
      <c r="I21" s="26">
        <f>A21-G21</f>
        <v>2761.2799999999997</v>
      </c>
      <c r="J21" s="26">
        <f t="shared" ref="J21:J22" si="4">IF(I21-H21&lt;0,0,ROUND(I21-H21,0))</f>
        <v>2461</v>
      </c>
      <c r="K21" s="18">
        <v>425</v>
      </c>
      <c r="L21" s="26">
        <f t="shared" ref="L21:L22" si="5">IF(J21*0.17-K21&lt;0,0,J21*0.17-K21)</f>
        <v>0</v>
      </c>
      <c r="M21" s="26">
        <f>(I21*$M$19)</f>
        <v>248.51519999999996</v>
      </c>
      <c r="N21" s="18">
        <v>0</v>
      </c>
      <c r="O21" s="26">
        <f>IF(L21-N21&gt;0,ROUND(L21-N21,0),0)</f>
        <v>0</v>
      </c>
      <c r="P21" s="26">
        <f>M21-N21</f>
        <v>248.51519999999996</v>
      </c>
      <c r="Q21" s="26">
        <f>A21-B21</f>
        <v>687.23520000000008</v>
      </c>
      <c r="R21" s="26">
        <f>A21*$R$19</f>
        <v>312.32</v>
      </c>
      <c r="S21" s="26">
        <f>A21*$S$19</f>
        <v>208</v>
      </c>
      <c r="T21" s="26">
        <f>A21*$T$19</f>
        <v>53.44</v>
      </c>
      <c r="U21" s="26">
        <f>IF($F$8="TAK",A21*$U$19,0)</f>
        <v>78.400000000000006</v>
      </c>
      <c r="V21" s="26">
        <f>IF($F$8="TAK",A21*$V$19,0)</f>
        <v>3.2</v>
      </c>
      <c r="W21" s="26">
        <f t="shared" ref="W21:W22" si="6">R21+S21+T21+U21+V21</f>
        <v>655.36</v>
      </c>
    </row>
    <row r="22" spans="1:23" s="21" customFormat="1" hidden="1" x14ac:dyDescent="0.3">
      <c r="A22" s="27">
        <f>F10</f>
        <v>3200</v>
      </c>
      <c r="B22" s="28">
        <f>A22-G22-M22-O22</f>
        <v>2351.7647999999999</v>
      </c>
      <c r="C22" s="29">
        <f>A22+W22</f>
        <v>3855.36</v>
      </c>
      <c r="D22" s="30">
        <f>A22*$D$19</f>
        <v>312.32</v>
      </c>
      <c r="E22" s="30">
        <f>A22*$E$19</f>
        <v>48</v>
      </c>
      <c r="F22" s="30">
        <f>A22*$F$19</f>
        <v>78.400000000000006</v>
      </c>
      <c r="G22" s="30">
        <f t="shared" si="3"/>
        <v>438.72</v>
      </c>
      <c r="H22" s="30">
        <f>F6</f>
        <v>300</v>
      </c>
      <c r="I22" s="30">
        <f>A22-G22</f>
        <v>2761.2799999999997</v>
      </c>
      <c r="J22" s="30">
        <f t="shared" si="4"/>
        <v>2461</v>
      </c>
      <c r="K22" s="20">
        <v>43.76</v>
      </c>
      <c r="L22" s="31">
        <f t="shared" si="5"/>
        <v>374.61</v>
      </c>
      <c r="M22" s="30">
        <f>IF(I22*$M$19&gt;L22,L22,I22*$M$19)</f>
        <v>248.51519999999996</v>
      </c>
      <c r="N22" s="30">
        <f>IF(I22*$N$19&gt;M22,M22,I22*$N$19)</f>
        <v>213.99919999999997</v>
      </c>
      <c r="O22" s="30">
        <f>ROUND(L22-N22,0)</f>
        <v>161</v>
      </c>
      <c r="P22" s="30">
        <f>M22-N22</f>
        <v>34.515999999999991</v>
      </c>
      <c r="Q22" s="30">
        <f>A22-B22</f>
        <v>848.23520000000008</v>
      </c>
      <c r="R22" s="30">
        <f>A22*$R$19</f>
        <v>312.32</v>
      </c>
      <c r="S22" s="30">
        <f>A22*$S$19</f>
        <v>208</v>
      </c>
      <c r="T22" s="30">
        <f>A22*$T$19</f>
        <v>53.44</v>
      </c>
      <c r="U22" s="30">
        <f>IF($F$8="TAK",A22*$U$19,0)</f>
        <v>78.400000000000006</v>
      </c>
      <c r="V22" s="30">
        <f>IF($F$8="TAK",A22*$V$19,0)</f>
        <v>3.2</v>
      </c>
      <c r="W22" s="30">
        <f t="shared" si="6"/>
        <v>655.36</v>
      </c>
    </row>
    <row r="23" spans="1:23" hidden="1" x14ac:dyDescent="0.3"/>
    <row r="24" spans="1:23" hidden="1" x14ac:dyDescent="0.3">
      <c r="A24" s="1">
        <f>F12-F11</f>
        <v>161</v>
      </c>
    </row>
    <row r="25" spans="1:23" hidden="1" x14ac:dyDescent="0.3">
      <c r="D25" s="4">
        <v>250</v>
      </c>
    </row>
    <row r="26" spans="1:23" hidden="1" x14ac:dyDescent="0.3">
      <c r="C26" s="22"/>
      <c r="D26" s="4">
        <v>300</v>
      </c>
    </row>
    <row r="27" spans="1:23" ht="4.8" customHeight="1" x14ac:dyDescent="0.3">
      <c r="C27" s="22"/>
    </row>
  </sheetData>
  <sheetProtection algorithmName="SHA-512" hashValue="48UejseU2kDrn0sQWYS+zrgJiueL7180bgoB7lxRfwrKdiAD0Kmy2l20I6wzqLxOlOLYf3McjrlowDoNzKh+wg==" saltValue="fV81htaa3lY5VAPGWnBG4g==" spinCount="100000" sheet="1" objects="1" scenarios="1"/>
  <mergeCells count="31">
    <mergeCell ref="A1:I1"/>
    <mergeCell ref="A2:F2"/>
    <mergeCell ref="A10:E10"/>
    <mergeCell ref="A11:E11"/>
    <mergeCell ref="A12:E12"/>
    <mergeCell ref="I17:I18"/>
    <mergeCell ref="C16:C18"/>
    <mergeCell ref="A16:A18"/>
    <mergeCell ref="B16:B18"/>
    <mergeCell ref="A8:E8"/>
    <mergeCell ref="D17:G17"/>
    <mergeCell ref="A14:F14"/>
    <mergeCell ref="A3:F4"/>
    <mergeCell ref="A6:E7"/>
    <mergeCell ref="F6:F7"/>
    <mergeCell ref="J17:J18"/>
    <mergeCell ref="R16:W16"/>
    <mergeCell ref="D16:Q16"/>
    <mergeCell ref="R17:S17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H17:H18"/>
    <mergeCell ref="K17:K18"/>
  </mergeCells>
  <conditionalFormatting sqref="A14:F14">
    <cfRule type="containsText" dxfId="1" priority="1" operator="containsText" text="Zyskasz">
      <formula>NOT(ISERROR(SEARCH("Zyskasz",A14)))</formula>
    </cfRule>
    <cfRule type="containsText" dxfId="0" priority="2" operator="containsText" text="Stracisz">
      <formula>NOT(ISERROR(SEARCH("Stracisz",A14)))</formula>
    </cfRule>
  </conditionalFormatting>
  <dataValidations count="1">
    <dataValidation type="list" allowBlank="1" showInputMessage="1" showErrorMessage="1" sqref="F6:F7" xr:uid="{567584F9-191D-4C84-99BB-88E364F27876}">
      <formula1>$D$25:$D$26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WYNAGRODZENIE-POLSKI-ŁAD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Kłusek - euroPiM</dc:creator>
  <cp:lastModifiedBy>Piotr Kłusek</cp:lastModifiedBy>
  <cp:lastPrinted>2021-11-15T20:54:56Z</cp:lastPrinted>
  <dcterms:created xsi:type="dcterms:W3CDTF">2019-12-14T19:38:53Z</dcterms:created>
  <dcterms:modified xsi:type="dcterms:W3CDTF">2021-11-15T21:14:43Z</dcterms:modified>
</cp:coreProperties>
</file>